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W:\EUROFUSION HORIZON EUROPE\FSD Fusion Science Department\4. AC - Advanced Computing\1. PLANNING (PMP, Budget)\ACH AWP\2024\"/>
    </mc:Choice>
  </mc:AlternateContent>
  <xr:revisionPtr revIDLastSave="0" documentId="13_ncr:1_{CA330A71-48BD-43C8-B2FF-99D8A2724BCE}" xr6:coauthVersionLast="47" xr6:coauthVersionMax="47" xr10:uidLastSave="{00000000-0000-0000-0000-000000000000}"/>
  <bookViews>
    <workbookView xWindow="-120" yWindow="-120" windowWidth="29040" windowHeight="17640" xr2:uid="{00000000-000D-0000-FFFF-FFFF00000000}"/>
  </bookViews>
  <sheets>
    <sheet name="ACH_Tasks_2024" sheetId="1" r:id="rId1"/>
    <sheet name="Rejected_projects" sheetId="5" r:id="rId2"/>
    <sheet name="ACH_manpower balance" sheetId="4" r:id="rId3"/>
  </sheets>
  <definedNames>
    <definedName name="_xlnm.Print_Area" localSheetId="0">ACH_Tasks_2024!$A$1:$H$17</definedName>
    <definedName name="Z_0AAB5E24_D396_41B0_9177_D1A7B5C74500_.wvu.PrintArea" localSheetId="0" hidden="1">ACH_Tasks_2024!$A$1:$H$17</definedName>
  </definedNames>
  <calcPr calcId="191029"/>
  <customWorkbookViews>
    <customWorkbookView name="Hender, Tim C - Personal View" guid="{0AAB5E24-D396-41B0-9177-D1A7B5C74500}" mergeInterval="0" personalView="1" maximized="1" xWindow="-8" yWindow="-8" windowWidth="1696" windowHeight="1026" activeSheetId="1"/>
    <customWorkbookView name="Kamendje Richard - Personal View" guid="{70C9F1A8-2C4F-4FB5-962D-19CF0A9E740B}" mergeInterval="0" personalView="1" maximized="1" windowWidth="1436" windowHeight="675" activeSheetId="1"/>
    <customWorkbookView name="Voitsekhovitch Irina - Personal View" guid="{F7D7789C-FBAC-431D-A9A9-71EC61653D62}" mergeInterval="0" personalView="1" maximized="1" windowWidth="1772" windowHeight="825" activeSheetId="1"/>
    <customWorkbookView name="Roman - Persönliche Ansicht" guid="{C820A875-0E22-46D9-869C-BD2F25C73CAE}" mergeInterval="0" personalView="1" maximized="1" xWindow="1" yWindow="1" windowWidth="1676" windowHeight="820" activeSheetId="1"/>
    <customWorkbookView name="Ribeiro, Tiago - Personal View" guid="{8B8D0B4A-1C50-4BE2-AE92-DB16F109CE92}" mergeInterval="0" personalView="1" maximized="1" windowWidth="1508" windowHeight="720" activeSheetId="1"/>
    <customWorkbookView name="thender - Personal View" guid="{149FA714-E1B7-4ADC-B778-E25391C40B7D}" mergeInterval="0" personalView="1" maximized="1" windowWidth="1362" windowHeight="502" activeSheetId="1"/>
    <customWorkbookView name="Hatzky, Roman - Personal View" guid="{07B7A4B4-0642-4742-AD16-FE89B68C3969}" mergeInterval="0" personalView="1" maximized="1" windowWidth="1588" windowHeight="7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4" l="1"/>
  <c r="G4" i="4"/>
  <c r="G5" i="4"/>
  <c r="G6" i="4"/>
  <c r="G2" i="4"/>
  <c r="J2" i="4"/>
  <c r="J3" i="4"/>
  <c r="J4" i="4"/>
  <c r="J5" i="4"/>
  <c r="J6" i="4"/>
  <c r="I2" i="4"/>
  <c r="I3" i="4"/>
  <c r="I4" i="4"/>
  <c r="I5" i="4"/>
  <c r="I6" i="4"/>
  <c r="H2" i="4"/>
  <c r="H3" i="4"/>
  <c r="H4" i="4"/>
  <c r="H5" i="4"/>
  <c r="H6" i="4"/>
  <c r="F2" i="4"/>
  <c r="F3" i="4"/>
  <c r="F4" i="4"/>
  <c r="F5" i="4"/>
  <c r="F6" i="4"/>
  <c r="E2" i="4"/>
  <c r="E3" i="4"/>
  <c r="E4" i="4"/>
  <c r="E5" i="4"/>
  <c r="E6" i="4"/>
  <c r="D2" i="4"/>
  <c r="D3" i="4"/>
  <c r="D4" i="4"/>
  <c r="D5" i="4"/>
  <c r="D6" i="4"/>
  <c r="B7" i="4"/>
  <c r="G18" i="1"/>
  <c r="K5" i="4" l="1"/>
  <c r="K4" i="4"/>
  <c r="K3" i="4"/>
  <c r="K6" i="4"/>
  <c r="K2" i="4"/>
  <c r="J7" i="4"/>
  <c r="F7" i="4"/>
  <c r="G7" i="4"/>
  <c r="H7" i="4"/>
  <c r="D7" i="4"/>
  <c r="E7" i="4"/>
  <c r="I7" i="4"/>
  <c r="K7" i="4" l="1"/>
</calcChain>
</file>

<file path=xl/sharedStrings.xml><?xml version="1.0" encoding="utf-8"?>
<sst xmlns="http://schemas.openxmlformats.org/spreadsheetml/2006/main" count="122" uniqueCount="82">
  <si>
    <t>Project Coordinator</t>
  </si>
  <si>
    <t>Comments</t>
  </si>
  <si>
    <t>Priority</t>
  </si>
  <si>
    <t>ACH team members</t>
  </si>
  <si>
    <t xml:space="preserve">PM's requested </t>
  </si>
  <si>
    <t xml:space="preserve">PM's estimated </t>
  </si>
  <si>
    <t>high</t>
  </si>
  <si>
    <t>Matthias Hoelzl</t>
  </si>
  <si>
    <t>medium</t>
  </si>
  <si>
    <t>TE</t>
  </si>
  <si>
    <t>TSVV-04</t>
  </si>
  <si>
    <t>TSVV-07</t>
  </si>
  <si>
    <t>TSVV-08</t>
  </si>
  <si>
    <t>TSVV-13</t>
  </si>
  <si>
    <t>ACH</t>
  </si>
  <si>
    <t>MPG</t>
  </si>
  <si>
    <t>TSVV-10</t>
  </si>
  <si>
    <t>TSVV-03</t>
  </si>
  <si>
    <t>JOREK</t>
  </si>
  <si>
    <t>EPFL</t>
  </si>
  <si>
    <t>Tasks description</t>
  </si>
  <si>
    <t>PrIO</t>
  </si>
  <si>
    <t>CIEMAT</t>
  </si>
  <si>
    <t>IPPLM</t>
  </si>
  <si>
    <t>BIT1</t>
  </si>
  <si>
    <t>Code</t>
  </si>
  <si>
    <t>Customer Project/WP</t>
  </si>
  <si>
    <t>VTT</t>
  </si>
  <si>
    <t>ERO2.0</t>
  </si>
  <si>
    <t>SPICE2</t>
  </si>
  <si>
    <t>XTOR-K</t>
  </si>
  <si>
    <t>STELLA</t>
  </si>
  <si>
    <t>Michael Komm</t>
  </si>
  <si>
    <t>Michael Barnes</t>
  </si>
  <si>
    <t>Mervi Mantsinen</t>
  </si>
  <si>
    <t>management</t>
  </si>
  <si>
    <t>management of ACH activities</t>
  </si>
  <si>
    <t>Planned Resources
(as in IMS)</t>
  </si>
  <si>
    <t>Management</t>
  </si>
  <si>
    <t>TSVVs</t>
  </si>
  <si>
    <t>ENR</t>
  </si>
  <si>
    <t>OTHER</t>
  </si>
  <si>
    <t>Balance</t>
  </si>
  <si>
    <t>Relocation of 2022 resources
(requested by PIs)</t>
  </si>
  <si>
    <t>Project Acronym</t>
  </si>
  <si>
    <t>PM's estimated</t>
  </si>
  <si>
    <t>Tasks required</t>
  </si>
  <si>
    <t>Comments on reasons for rejection</t>
  </si>
  <si>
    <t>ACH 
(requested in the proposal)</t>
  </si>
  <si>
    <t>Rejected/Postoned Projects</t>
  </si>
  <si>
    <t>ACH tasks planned for 2024</t>
  </si>
  <si>
    <t>Tasks recommended for ACH support in 2024:</t>
  </si>
  <si>
    <t>David TSKHAKAYA</t>
  </si>
  <si>
    <t xml:space="preserve">Task distributed between TSVV3, TSVV4 and TSVV7 for a total of 6pm </t>
  </si>
  <si>
    <t xml:space="preserve">Pursue GPUization of code. Target: first production run on Leonardo by end of 2024. </t>
  </si>
  <si>
    <t>GENE-X is a full-f gyrokinetic continuum code implementing a locally field-aligned coordinate system following the flux-coordinate independent approach. The implementation is based on a hybrid OpenMP and MPI parallelization that was successfully tested up to 512 compute nodes and against the Roofline model.
To improve the cache usage of GENE-X, we would like the ACH to optimize the memory access patterns. This shall be achieved by reordering the unstructured computational grid. The tasks for ACH are:
•   Implementing the ability to access the unstructured computational grid in arbitrary order
•   Testing the performance of different reordering strategies</t>
  </si>
  <si>
    <t>Juri Romazanov</t>
  </si>
  <si>
    <t>HPC optimization, GPU enabling</t>
  </si>
  <si>
    <t>Continuation of ongoing project</t>
  </si>
  <si>
    <t>Domain decomposition, GPU solver, improvement of code portability &amp; availability</t>
  </si>
  <si>
    <t>Continuation and extension of ongoing project</t>
  </si>
  <si>
    <t>JOREK-CARIDDI eddy current coupling for 3D plasma 3D wall simulations has been completed by TSVV 8 in 2023. Optimization of the coupling between JOREK and CARIDDI is needed for high resolution cases (plasma resolution as well as wall resolution); a substantial step was taken here already in 2023 with CIEMAT ACH support, but that has to be continued in view of full MHD coupling and halo current coupling, which are both under development and introduce a significant number of new coupling terms</t>
  </si>
  <si>
    <t>Federico Cipolletta would be an excellent person to work on this due to experience from this year</t>
  </si>
  <si>
    <t>Hinrich Lütjens</t>
  </si>
  <si>
    <t>Porting XTOR-K onto GPU systems</t>
  </si>
  <si>
    <t>BSC has proposed to port XTOR-K onto GPU’s. From the developer side, this transfer has been prepared including typical run cases and tests of the results. The code is ready now with both full trajectory and guiding centre particle integrators working in all configurations</t>
  </si>
  <si>
    <t>stella’s implicit treatment of parallel streaming is made possible by a Green’s function approach that requires pre-computation and LU factorization of a response initialization matrix.  For simulations requiring high resolution in both the radial and parallel-to-the-field coordinates, the computation of the LU decomposition has until recently been a bottleneck, and has required its parallelization and distribution of the memory demand. At present, the code can carry out the matrix inizialization distributing it across he CPUs of a single node, independently on whether more than one node is requested in the simulation. If more than 1 one node is requested, there is no speed-up in the calculation of the initialization matrix. The present task aims at enabling the LU factorization across all the nodes requested for the simulation when the number of nodes requested is more than 1 in order to reduce the time spent by the code in the inizialization and to afford finer resolution and larger size of the computation domain. Part of this task began in 2023 but has not been accomplished and must be continued and finished in 2024.</t>
  </si>
  <si>
    <t>W7X</t>
  </si>
  <si>
    <t>Philipp Ulbl</t>
  </si>
  <si>
    <t>SOLPS</t>
  </si>
  <si>
    <t>David Coster</t>
  </si>
  <si>
    <t>Fusion group (X. Saez; A.Silanes; new recruiment)</t>
  </si>
  <si>
    <t>6PM Fusion group (A. Silanes); 4PM M.Garcia's team</t>
  </si>
  <si>
    <t>Fusion group (A. Soba)</t>
  </si>
  <si>
    <t>Fusion group (F. Cipolletta)</t>
  </si>
  <si>
    <t>Fusion group (X. Saez, A.Silanes)</t>
  </si>
  <si>
    <t>D. Vicente's team</t>
  </si>
  <si>
    <t>5PM M. Garcia's team; 1 PM Fusion group</t>
  </si>
  <si>
    <t>GENE-X</t>
  </si>
  <si>
    <t>M.Garcia's team &amp; Fusion group (tbd)</t>
  </si>
  <si>
    <t>Continue work started in 2023 along the following lines:
(1) Identify and exploit new other multi-threading opportunities, in particular in newer parts of the code, such as the ones related to the dynamic time-dependent mode (b2news_m routines and those called within), and the new routines related to the Zhdanov closure.
(2) For coupled runs in which both the B2.5 and Eirene components are meant to run using their parallelized versions, propose compiler options and/or job submission script instructions (on as wide a variety of compilers and platforms as possible) that allow for an optimal use of the available CPU resources by enforcing the regular re-assignment of these resources from MPI to OpenMP tasks and back.
(3) Consider possible vectorization of the code wherever profitable for use on Cray platforms like on the JFRS cluster at IFERC.</t>
  </si>
  <si>
    <t>rate agreed by the E-TASC 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</si>
</sst>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0"/>
      <name val="Arial"/>
    </font>
    <font>
      <sz val="8"/>
      <name val="Arial"/>
      <family val="2"/>
    </font>
    <font>
      <b/>
      <sz val="10"/>
      <name val="Arial"/>
      <family val="2"/>
    </font>
    <font>
      <sz val="10"/>
      <name val="Arial"/>
      <family val="2"/>
    </font>
    <font>
      <b/>
      <sz val="12"/>
      <name val="Arial"/>
      <family val="2"/>
    </font>
    <font>
      <b/>
      <sz val="14"/>
      <color rgb="FF002060"/>
      <name val="Arial"/>
      <family val="2"/>
    </font>
    <font>
      <sz val="10"/>
      <color rgb="FF002060"/>
      <name val="Arial"/>
      <family val="2"/>
    </font>
    <font>
      <b/>
      <sz val="10"/>
      <color theme="0"/>
      <name val="Arial"/>
      <family val="2"/>
    </font>
    <font>
      <b/>
      <sz val="20"/>
      <name val="Arial"/>
      <family val="2"/>
    </font>
    <font>
      <b/>
      <sz val="11"/>
      <color theme="5" tint="-0.499984740745262"/>
      <name val="Arial"/>
      <family val="2"/>
    </font>
    <font>
      <b/>
      <sz val="10"/>
      <color rgb="FF002060"/>
      <name val="Arial"/>
      <family val="2"/>
    </font>
    <font>
      <sz val="10"/>
      <color theme="1" tint="0.249977111117893"/>
      <name val="Arial"/>
      <family val="2"/>
    </font>
    <font>
      <b/>
      <sz val="12"/>
      <color theme="0"/>
      <name val="Arial"/>
      <family val="2"/>
    </font>
    <font>
      <b/>
      <sz val="10"/>
      <color rgb="FFC00000"/>
      <name val="Arial"/>
      <family val="2"/>
    </font>
    <font>
      <b/>
      <sz val="11"/>
      <color rgb="FF002060"/>
      <name val="Arial"/>
      <family val="2"/>
    </font>
    <font>
      <b/>
      <sz val="12"/>
      <color rgb="FF002060"/>
      <name val="Arial"/>
      <family val="2"/>
    </font>
    <font>
      <b/>
      <sz val="11"/>
      <name val="Arial"/>
      <family val="2"/>
    </font>
    <font>
      <b/>
      <sz val="11"/>
      <color theme="6" tint="-0.499984740745262"/>
      <name val="Arial"/>
      <family val="2"/>
    </font>
    <font>
      <sz val="20"/>
      <name val="Arial"/>
      <family val="2"/>
    </font>
    <font>
      <b/>
      <sz val="10"/>
      <color theme="0"/>
      <name val="Helvetica"/>
      <family val="2"/>
    </font>
    <font>
      <b/>
      <sz val="18"/>
      <color theme="5" tint="-0.499984740745262"/>
      <name val="Arial"/>
      <family val="2"/>
    </font>
    <font>
      <sz val="18"/>
      <color theme="5" tint="-0.499984740745262"/>
      <name val="Arial"/>
      <family val="2"/>
    </font>
    <font>
      <b/>
      <sz val="11"/>
      <color theme="5" tint="-0.499984740745262"/>
      <name val="Arial"/>
    </font>
    <font>
      <b/>
      <sz val="11"/>
      <color rgb="FF002060"/>
      <name val="Arial"/>
    </font>
    <font>
      <b/>
      <sz val="10"/>
      <color rgb="FF002060"/>
      <name val="Arial"/>
    </font>
  </fonts>
  <fills count="7">
    <fill>
      <patternFill patternType="none"/>
    </fill>
    <fill>
      <patternFill patternType="gray125"/>
    </fill>
    <fill>
      <patternFill patternType="solid">
        <fgColor rgb="FF002060"/>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rgb="FFFFFFCC"/>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theme="6"/>
      </right>
      <top style="thin">
        <color theme="6"/>
      </top>
      <bottom/>
      <diagonal/>
    </border>
    <border>
      <left/>
      <right/>
      <top style="thin">
        <color indexed="64"/>
      </top>
      <bottom style="thin">
        <color indexed="64"/>
      </bottom>
      <diagonal/>
    </border>
  </borders>
  <cellStyleXfs count="2">
    <xf numFmtId="0" fontId="0" fillId="0" borderId="0"/>
    <xf numFmtId="0" fontId="3" fillId="0" borderId="0"/>
  </cellStyleXfs>
  <cellXfs count="72">
    <xf numFmtId="0" fontId="0" fillId="0" borderId="0" xfId="0"/>
    <xf numFmtId="0" fontId="3" fillId="0" borderId="0" xfId="0" applyFont="1"/>
    <xf numFmtId="0" fontId="3" fillId="0" borderId="1" xfId="0" applyFont="1" applyBorder="1" applyAlignment="1">
      <alignment vertical="justify" wrapText="1"/>
    </xf>
    <xf numFmtId="0" fontId="3" fillId="0" borderId="1" xfId="0" applyFont="1" applyBorder="1" applyAlignment="1">
      <alignment vertical="top" wrapText="1"/>
    </xf>
    <xf numFmtId="0" fontId="4" fillId="0" borderId="0" xfId="0" applyFont="1"/>
    <xf numFmtId="0" fontId="0" fillId="0" borderId="0" xfId="0" applyAlignment="1">
      <alignment vertical="top" wrapText="1"/>
    </xf>
    <xf numFmtId="0" fontId="0" fillId="0" borderId="1" xfId="0" applyBorder="1" applyAlignment="1">
      <alignment vertical="top" wrapText="1"/>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7" fillId="2" borderId="6" xfId="0" applyFont="1" applyFill="1" applyBorder="1" applyAlignment="1">
      <alignmen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0" fillId="0" borderId="1" xfId="0" applyBorder="1" applyAlignment="1">
      <alignment vertical="justify" wrapText="1"/>
    </xf>
    <xf numFmtId="0" fontId="10" fillId="0" borderId="1" xfId="0" applyFont="1" applyBorder="1" applyAlignment="1">
      <alignment vertical="justify" wrapText="1"/>
    </xf>
    <xf numFmtId="0" fontId="11" fillId="0" borderId="1" xfId="0" applyFont="1" applyBorder="1" applyAlignment="1">
      <alignment vertical="justify" wrapText="1"/>
    </xf>
    <xf numFmtId="0" fontId="9" fillId="0" borderId="2" xfId="0" applyFont="1" applyBorder="1" applyAlignment="1">
      <alignment vertical="top" wrapText="1"/>
    </xf>
    <xf numFmtId="164" fontId="12" fillId="3" borderId="0" xfId="0" applyNumberFormat="1" applyFont="1" applyFill="1"/>
    <xf numFmtId="0" fontId="0" fillId="3" borderId="0" xfId="0" applyFill="1"/>
    <xf numFmtId="0" fontId="14" fillId="0" borderId="1" xfId="0" applyFont="1" applyBorder="1" applyAlignment="1">
      <alignment vertical="justify" wrapText="1"/>
    </xf>
    <xf numFmtId="0" fontId="15" fillId="0" borderId="0" xfId="0" applyFont="1" applyAlignment="1">
      <alignment wrapText="1"/>
    </xf>
    <xf numFmtId="164" fontId="4" fillId="0" borderId="0" xfId="0" applyNumberFormat="1" applyFont="1" applyAlignment="1">
      <alignment wrapText="1"/>
    </xf>
    <xf numFmtId="164" fontId="2" fillId="0" borderId="0" xfId="0" applyNumberFormat="1" applyFont="1" applyAlignment="1">
      <alignment wrapText="1"/>
    </xf>
    <xf numFmtId="0" fontId="16" fillId="4" borderId="0" xfId="0" applyFont="1" applyFill="1" applyAlignment="1">
      <alignment vertical="top" wrapText="1"/>
    </xf>
    <xf numFmtId="0" fontId="16" fillId="4" borderId="0" xfId="0" applyFont="1" applyFill="1" applyAlignment="1">
      <alignment horizontal="right" vertical="top" wrapText="1"/>
    </xf>
    <xf numFmtId="0" fontId="12" fillId="4" borderId="0" xfId="0" applyFont="1" applyFill="1" applyAlignment="1">
      <alignment wrapText="1"/>
    </xf>
    <xf numFmtId="164" fontId="12" fillId="4" borderId="0" xfId="0" applyNumberFormat="1" applyFont="1" applyFill="1" applyAlignment="1">
      <alignment wrapText="1"/>
    </xf>
    <xf numFmtId="164" fontId="17" fillId="0" borderId="0" xfId="0" applyNumberFormat="1" applyFont="1" applyAlignment="1">
      <alignment wrapText="1"/>
    </xf>
    <xf numFmtId="0" fontId="18" fillId="0" borderId="0" xfId="0" applyFont="1"/>
    <xf numFmtId="0" fontId="19" fillId="3" borderId="4" xfId="0" applyFont="1" applyFill="1" applyBorder="1" applyAlignment="1">
      <alignment vertical="top" wrapText="1"/>
    </xf>
    <xf numFmtId="0" fontId="19" fillId="3" borderId="5" xfId="0" applyFont="1" applyFill="1" applyBorder="1" applyAlignment="1">
      <alignment vertical="top" wrapText="1"/>
    </xf>
    <xf numFmtId="0" fontId="7" fillId="3" borderId="5" xfId="0" applyFont="1" applyFill="1" applyBorder="1" applyAlignment="1">
      <alignment vertical="top" wrapText="1"/>
    </xf>
    <xf numFmtId="0" fontId="7" fillId="3" borderId="6" xfId="0" applyFont="1" applyFill="1" applyBorder="1" applyAlignment="1">
      <alignment vertical="top" wrapText="1"/>
    </xf>
    <xf numFmtId="0" fontId="3" fillId="5" borderId="1" xfId="0" applyFont="1" applyFill="1" applyBorder="1" applyAlignment="1">
      <alignment vertical="justify"/>
    </xf>
    <xf numFmtId="0" fontId="10" fillId="5" borderId="1" xfId="0" applyFont="1" applyFill="1" applyBorder="1" applyAlignment="1">
      <alignment vertical="justify"/>
    </xf>
    <xf numFmtId="0" fontId="0" fillId="5" borderId="1" xfId="0" applyFill="1" applyBorder="1" applyAlignment="1">
      <alignment horizontal="right" vertical="justify"/>
    </xf>
    <xf numFmtId="0" fontId="3" fillId="5" borderId="1" xfId="0" applyFont="1" applyFill="1" applyBorder="1" applyAlignment="1">
      <alignment vertical="justify" wrapText="1"/>
    </xf>
    <xf numFmtId="0" fontId="0" fillId="5" borderId="1" xfId="0" applyFill="1" applyBorder="1" applyAlignment="1">
      <alignment vertical="justify"/>
    </xf>
    <xf numFmtId="0" fontId="3" fillId="5" borderId="1" xfId="0" applyFont="1" applyFill="1" applyBorder="1" applyAlignment="1">
      <alignment vertical="top" wrapText="1"/>
    </xf>
    <xf numFmtId="0" fontId="3" fillId="5" borderId="2" xfId="0" applyFont="1" applyFill="1" applyBorder="1" applyAlignment="1">
      <alignment vertical="top" wrapText="1"/>
    </xf>
    <xf numFmtId="0" fontId="0" fillId="5" borderId="0" xfId="0" applyFill="1" applyAlignment="1">
      <alignment vertical="top" wrapText="1"/>
    </xf>
    <xf numFmtId="0" fontId="3" fillId="5" borderId="9" xfId="0" applyFont="1" applyFill="1" applyBorder="1" applyAlignment="1">
      <alignment vertical="justify"/>
    </xf>
    <xf numFmtId="0" fontId="10" fillId="5" borderId="9" xfId="0" applyFont="1" applyFill="1" applyBorder="1" applyAlignment="1">
      <alignment vertical="justify"/>
    </xf>
    <xf numFmtId="0" fontId="0" fillId="5" borderId="9" xfId="0" applyFill="1" applyBorder="1" applyAlignment="1">
      <alignment horizontal="right" vertical="justify"/>
    </xf>
    <xf numFmtId="0" fontId="3" fillId="5" borderId="9" xfId="0" applyFont="1" applyFill="1" applyBorder="1" applyAlignment="1">
      <alignment vertical="justify" wrapText="1"/>
    </xf>
    <xf numFmtId="0" fontId="3" fillId="5" borderId="7" xfId="0" applyFont="1" applyFill="1" applyBorder="1" applyAlignment="1">
      <alignment vertical="justify"/>
    </xf>
    <xf numFmtId="0" fontId="9" fillId="5" borderId="2" xfId="0" applyFont="1" applyFill="1" applyBorder="1" applyAlignment="1">
      <alignment vertical="top" wrapText="1"/>
    </xf>
    <xf numFmtId="0" fontId="3" fillId="5" borderId="2" xfId="0" applyFont="1" applyFill="1" applyBorder="1" applyAlignment="1">
      <alignment vertical="justify" wrapText="1"/>
    </xf>
    <xf numFmtId="0" fontId="13" fillId="5" borderId="1" xfId="0" applyFont="1" applyFill="1" applyBorder="1" applyAlignment="1">
      <alignment vertical="justify"/>
    </xf>
    <xf numFmtId="0" fontId="13" fillId="5" borderId="1" xfId="0" applyFont="1" applyFill="1" applyBorder="1" applyAlignment="1">
      <alignment vertical="top" wrapText="1"/>
    </xf>
    <xf numFmtId="0" fontId="3" fillId="5" borderId="3" xfId="0" applyFont="1" applyFill="1" applyBorder="1" applyAlignment="1">
      <alignment vertical="justify"/>
    </xf>
    <xf numFmtId="0" fontId="0" fillId="5" borderId="10" xfId="0" applyFill="1" applyBorder="1" applyAlignment="1">
      <alignment vertical="top" wrapText="1"/>
    </xf>
    <xf numFmtId="0" fontId="0" fillId="5" borderId="3" xfId="0" applyFill="1" applyBorder="1" applyAlignment="1">
      <alignment vertical="top" wrapText="1"/>
    </xf>
    <xf numFmtId="0" fontId="3" fillId="5" borderId="8" xfId="0" applyFont="1" applyFill="1" applyBorder="1" applyAlignment="1">
      <alignment vertical="justify"/>
    </xf>
    <xf numFmtId="0" fontId="0" fillId="0" borderId="11" xfId="0" applyBorder="1" applyAlignment="1">
      <alignment vertical="top" wrapText="1"/>
    </xf>
    <xf numFmtId="0" fontId="22" fillId="0" borderId="2" xfId="0" applyFont="1" applyBorder="1" applyAlignment="1">
      <alignment vertical="top" wrapText="1"/>
    </xf>
    <xf numFmtId="0" fontId="23" fillId="0" borderId="1" xfId="0" applyFont="1" applyBorder="1" applyAlignment="1">
      <alignment vertical="justify" wrapText="1"/>
    </xf>
    <xf numFmtId="0" fontId="24" fillId="0" borderId="1" xfId="0" applyFont="1" applyBorder="1" applyAlignment="1">
      <alignment vertical="top" wrapText="1"/>
    </xf>
    <xf numFmtId="0" fontId="0" fillId="0" borderId="3" xfId="0" applyBorder="1" applyAlignment="1">
      <alignment vertical="justify" wrapText="1"/>
    </xf>
    <xf numFmtId="164" fontId="10" fillId="6" borderId="1" xfId="0" applyNumberFormat="1" applyFont="1" applyFill="1" applyBorder="1" applyAlignment="1">
      <alignment vertical="justify" wrapText="1"/>
    </xf>
    <xf numFmtId="164" fontId="24" fillId="6" borderId="1" xfId="0" applyNumberFormat="1" applyFont="1" applyFill="1" applyBorder="1" applyAlignment="1">
      <alignment vertical="justify" wrapText="1"/>
    </xf>
    <xf numFmtId="164" fontId="3" fillId="0" borderId="0" xfId="0" applyNumberFormat="1" applyFont="1"/>
    <xf numFmtId="0" fontId="3" fillId="6" borderId="1" xfId="0" applyFont="1" applyFill="1" applyBorder="1" applyAlignment="1">
      <alignment vertical="top" wrapText="1"/>
    </xf>
    <xf numFmtId="0" fontId="3" fillId="0" borderId="0" xfId="0" applyFont="1" applyAlignment="1">
      <alignment vertical="top"/>
    </xf>
    <xf numFmtId="0" fontId="0" fillId="6" borderId="1" xfId="0" applyFill="1" applyBorder="1" applyAlignment="1">
      <alignment vertical="top" wrapText="1"/>
    </xf>
    <xf numFmtId="0" fontId="3" fillId="3" borderId="0" xfId="0" applyFont="1" applyFill="1" applyAlignment="1">
      <alignment vertical="top"/>
    </xf>
    <xf numFmtId="0" fontId="10" fillId="6" borderId="1" xfId="0" applyFont="1" applyFill="1" applyBorder="1" applyAlignment="1">
      <alignment vertical="top" wrapText="1"/>
    </xf>
    <xf numFmtId="0" fontId="8" fillId="0" borderId="0" xfId="0" applyFont="1"/>
    <xf numFmtId="0" fontId="2" fillId="0" borderId="0" xfId="0" applyFont="1"/>
    <xf numFmtId="0" fontId="5" fillId="0" borderId="0" xfId="0" applyFont="1"/>
    <xf numFmtId="0" fontId="6" fillId="0" borderId="0" xfId="0" applyFont="1"/>
    <xf numFmtId="0" fontId="20" fillId="0" borderId="0" xfId="0" applyFont="1"/>
    <xf numFmtId="0" fontId="21" fillId="0" borderId="0" xfId="0" applyFont="1"/>
  </cellXfs>
  <cellStyles count="2">
    <cellStyle name="Normal" xfId="0" builtinId="0"/>
    <cellStyle name="Normal 2" xfId="1" xr:uid="{00000000-0005-0000-0000-000001000000}"/>
  </cellStyles>
  <dxfs count="65">
    <dxf>
      <font>
        <b/>
        <i val="0"/>
        <color theme="6" tint="-0.499984740745262"/>
      </font>
    </dxf>
    <dxf>
      <font>
        <b/>
        <i val="0"/>
        <color theme="5" tint="-0.24994659260841701"/>
      </font>
    </dxf>
    <dxf>
      <font>
        <color theme="0" tint="-0.24994659260841701"/>
      </font>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i val="0"/>
        <strike val="0"/>
        <condense val="0"/>
        <extend val="0"/>
        <outline val="0"/>
        <shadow val="0"/>
        <u val="none"/>
        <vertAlign val="baseline"/>
        <sz val="11"/>
        <color theme="6" tint="-0.499984740745262"/>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5" tint="-0.249977111117893"/>
        </patternFill>
      </fill>
      <alignment horizontal="general" vertical="bottom" textRotation="0" wrapText="1" indent="0" justifyLastLine="0" shrinkToFit="0" readingOrder="0"/>
    </dxf>
    <dxf>
      <alignment horizontal="general" vertical="bottom" textRotation="0" wrapText="1" indent="0" justifyLastLine="0" shrinkToFit="0" readingOrder="0"/>
    </dxf>
    <dxf>
      <font>
        <b/>
        <strike val="0"/>
        <outline val="0"/>
        <shadow val="0"/>
        <u val="none"/>
        <vertAlign val="baseline"/>
        <sz val="12"/>
        <color theme="0"/>
        <name val="Arial"/>
        <family val="2"/>
        <scheme val="none"/>
      </font>
      <fill>
        <patternFill patternType="solid">
          <fgColor indexed="64"/>
          <bgColor theme="5" tint="-0.249977111117893"/>
        </patternFill>
      </fill>
    </dxf>
    <dxf>
      <alignment horizontal="general" vertical="bottom" textRotation="0" wrapText="1" indent="0" justifyLastLine="0" shrinkToFit="0" readingOrder="0"/>
    </dxf>
    <dxf>
      <font>
        <b/>
        <strike val="0"/>
        <outline val="0"/>
        <shadow val="0"/>
        <u val="none"/>
        <vertAlign val="baseline"/>
        <sz val="11"/>
        <color auto="1"/>
        <name val="Arial"/>
        <family val="2"/>
        <scheme val="none"/>
      </font>
      <fill>
        <patternFill patternType="solid">
          <fgColor indexed="64"/>
          <bgColor theme="5" tint="-0.249977111117893"/>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fgColor indexed="64"/>
          <bgColor rgb="FFFFFFCC"/>
        </patternFill>
      </fill>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auto="1"/>
        <name val="Arial"/>
        <family val="2"/>
        <scheme val="none"/>
      </font>
      <fill>
        <patternFill>
          <fgColor indexed="64"/>
          <bgColor rgb="FFFFFFCC"/>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fgColor indexed="64"/>
          <bgColor rgb="FFFFFFCC"/>
        </patternFill>
      </fill>
      <alignment horizontal="general" vertical="justify"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rgb="FFFFFFCC"/>
        </patternFill>
      </fill>
      <alignment horizontal="general" vertical="justify"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rgb="FFFFFFCC"/>
        </patternFill>
      </fill>
      <alignment horizontal="general" vertical="justify"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fgColor indexed="64"/>
          <bgColor rgb="FFFFFFCC"/>
        </patternFill>
      </fill>
      <alignment horizontal="general" vertical="justify"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rgb="FF002060"/>
        <name val="Arial"/>
        <family val="2"/>
        <scheme val="none"/>
      </font>
      <fill>
        <patternFill>
          <fgColor indexed="64"/>
          <bgColor rgb="FFFFFFCC"/>
        </patternFill>
      </fill>
      <alignment horizontal="general" vertical="justify"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rgb="FFFFFFCC"/>
        </patternFill>
      </fill>
      <border outline="0">
        <left/>
        <right style="thin">
          <color indexed="64"/>
        </right>
      </border>
    </dxf>
    <dxf>
      <font>
        <b/>
        <i val="0"/>
        <strike val="0"/>
        <condense val="0"/>
        <extend val="0"/>
        <outline val="0"/>
        <shadow val="0"/>
        <u val="none"/>
        <vertAlign val="baseline"/>
        <sz val="10"/>
        <color rgb="FFC00000"/>
        <name val="Arial"/>
        <scheme val="none"/>
      </font>
      <fill>
        <patternFill>
          <fgColor indexed="64"/>
          <bgColor rgb="FFFFFFCC"/>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border outline="0">
        <left style="thin">
          <color indexed="64"/>
        </left>
        <right style="thin">
          <color indexed="64"/>
        </right>
        <top style="thin">
          <color indexed="64"/>
        </top>
        <bottom style="thin">
          <color auto="1"/>
        </bottom>
      </border>
    </dxf>
    <dxf>
      <fill>
        <patternFill>
          <fgColor indexed="64"/>
          <bgColor rgb="FFFFFFCC"/>
        </patternFill>
      </fill>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5" tint="-0.499984740745262"/>
        </patternFill>
      </fill>
      <alignment horizontal="general"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rgb="FF002060"/>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0"/>
        <color rgb="FF002060"/>
        <name val="Arial"/>
        <scheme val="none"/>
      </font>
      <numFmt numFmtId="164" formatCode="0.0"/>
      <alignment horizontal="general" vertical="justify"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justify"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right/>
        <top style="thin">
          <color indexed="64"/>
        </top>
        <bottom/>
      </border>
    </dxf>
    <dxf>
      <alignment textRotation="0" wrapText="1"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rgb="FF002060"/>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rgb="FF002060"/>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2060"/>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rgb="FF002060"/>
        <name val="Arial"/>
        <scheme val="none"/>
      </font>
      <alignment horizontal="general"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5" tint="-0.499984740745262"/>
        <name val="Arial"/>
        <scheme val="none"/>
      </font>
      <alignment horizontal="general" vertical="top"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5" tint="-0.499984740745262"/>
        <name val="Arial"/>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border outline="0">
        <left style="thin">
          <color indexed="64"/>
        </left>
        <right style="thin">
          <color indexed="64"/>
        </right>
        <top style="thin">
          <color indexed="64"/>
        </top>
      </border>
    </dxf>
    <dxf>
      <alignment textRotation="0" wrapText="1" justifyLastLine="0" shrinkToFit="0" readingOrder="0"/>
    </dxf>
    <dxf>
      <border outline="0">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rgb="FF002060"/>
        </patternFill>
      </fill>
      <alignment horizontal="general" vertical="top"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FFF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J17" totalsRowShown="0" headerRowDxfId="64" dataDxfId="62" headerRowBorderDxfId="63" tableBorderDxfId="61">
  <autoFilter ref="A6:J17" xr:uid="{00000000-0009-0000-0100-000001000000}"/>
  <sortState xmlns:xlrd2="http://schemas.microsoft.com/office/spreadsheetml/2017/richdata2" ref="A7:J17">
    <sortCondition ref="A6:A17"/>
  </sortState>
  <tableColumns count="10">
    <tableColumn id="10" xr3:uid="{00000000-0010-0000-0000-00000A000000}" name="ACH" dataDxfId="60" totalsRowDxfId="59"/>
    <tableColumn id="11" xr3:uid="{00000000-0010-0000-0000-00000B000000}" name="Customer Project/WP" dataDxfId="58" totalsRowDxfId="57"/>
    <tableColumn id="1" xr3:uid="{00000000-0010-0000-0000-000001000000}" name="Code" dataDxfId="56" totalsRowDxfId="55"/>
    <tableColumn id="2" xr3:uid="{00000000-0010-0000-0000-000002000000}" name="Project Coordinator" dataDxfId="54" totalsRowDxfId="53"/>
    <tableColumn id="4" xr3:uid="{00000000-0010-0000-0000-000004000000}" name="Priority" dataDxfId="52" totalsRowDxfId="51"/>
    <tableColumn id="5" xr3:uid="{00000000-0010-0000-0000-000005000000}" name="PM's requested " dataDxfId="50" totalsRowDxfId="49"/>
    <tableColumn id="6" xr3:uid="{00000000-0010-0000-0000-000006000000}" name="PM's estimated " dataDxfId="48" totalsRowDxfId="47"/>
    <tableColumn id="7" xr3:uid="{00000000-0010-0000-0000-000007000000}" name="ACH team members" dataDxfId="46" totalsRowDxfId="45"/>
    <tableColumn id="8" xr3:uid="{00000000-0010-0000-0000-000008000000}" name="Tasks description" dataDxfId="44" totalsRowDxfId="43"/>
    <tableColumn id="9" xr3:uid="{00000000-0010-0000-0000-000009000000}" name="Comments" dataDxfId="42" totalsRowDxfId="4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28CF09B-C057-48B9-A262-89886BBBF738}" name="Table3" displayName="Table3" ref="A3:I12" totalsRowShown="0" headerRowDxfId="40" dataDxfId="38" headerRowBorderDxfId="39" tableBorderDxfId="37">
  <autoFilter ref="A3:I12" xr:uid="{928CF09B-C057-48B9-A262-89886BBBF738}"/>
  <tableColumns count="9">
    <tableColumn id="1" xr3:uid="{73505349-ECDB-43EB-8C21-5E577DC76E03}" name="Project Acronym" dataDxfId="36"/>
    <tableColumn id="2" xr3:uid="{BD250774-A1EE-4BC2-B9A6-C1213FCAB6BA}" name="Project Coordinator" dataDxfId="35"/>
    <tableColumn id="3" xr3:uid="{4E5261DD-7834-4C21-BD9C-639F3DA6A2CE}" name="Customer Project/WP" dataDxfId="34"/>
    <tableColumn id="4" xr3:uid="{15A753B1-4B99-4898-842A-B151884423E0}" name="Priority" dataDxfId="33"/>
    <tableColumn id="5" xr3:uid="{DBAB6D87-06C6-4397-8ED3-1EC8F8A9E518}" name="PM's requested " dataDxfId="32"/>
    <tableColumn id="6" xr3:uid="{EC353F98-B1F5-445D-AE50-51087E9EB865}" name="PM's estimated" dataDxfId="31"/>
    <tableColumn id="7" xr3:uid="{DDC4C183-837C-494C-BFA3-6420C553E8B7}" name="ACH _x000a_(requested in the proposal)" dataDxfId="30"/>
    <tableColumn id="8" xr3:uid="{95221B25-E7A3-4C82-AE01-38CCABECD4FF}" name="Tasks required" dataDxfId="29"/>
    <tableColumn id="9" xr3:uid="{EB8C1C8F-132F-4A4A-8A66-F8B53E8873FE}" name="Comments on reasons for rejection" dataDxfId="28"/>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82F29B-9396-43FF-BFBF-A2B63442A878}" name="Table2" displayName="Table2" ref="A1:K7" totalsRowCount="1" headerRowDxfId="27" dataDxfId="26" totalsRowDxfId="25">
  <autoFilter ref="A1:K6" xr:uid="{3C82F29B-9396-43FF-BFBF-A2B63442A878}"/>
  <tableColumns count="11">
    <tableColumn id="1" xr3:uid="{5C019E86-25D7-480A-9524-0F765F32F2EC}" name="ACH" dataDxfId="24" totalsRowDxfId="23"/>
    <tableColumn id="2" xr3:uid="{D09B03A0-9142-48F6-AC2B-410485C86DA1}" name="Planned Resources_x000a_(as in IMS)" totalsRowFunction="custom" dataDxfId="22" totalsRowDxfId="21">
      <totalsRowFormula>SUBTOTAL(9,Table2[Planned Resources
(as in IMS)])</totalsRowFormula>
    </tableColumn>
    <tableColumn id="13" xr3:uid="{15DD1404-85C7-4055-B2E6-E1DBA1ADA1E6}" name="Relocation of 2022 resources_x000a_(requested by PIs)" dataDxfId="20" totalsRowDxfId="19"/>
    <tableColumn id="3" xr3:uid="{2AF41162-2CA2-48CC-A59D-A9ECE4A66DE0}" name="Management" totalsRowFunction="custom" dataDxfId="18" totalsRowDxfId="17">
      <calculatedColumnFormula>SUMIFS(Table1[PM''s estimated ],Table1[Code], "management",Table1[ACH],Table2[[#This Row],[ACH]])</calculatedColumnFormula>
      <totalsRowFormula>SUBTOTAL(9,Table2[Management])</totalsRowFormula>
    </tableColumn>
    <tableColumn id="4" xr3:uid="{E442A162-22E3-43B3-9B2E-E03838458523}" name="TSVVs" totalsRowFunction="custom" dataDxfId="16" totalsRowDxfId="15">
      <calculatedColumnFormula>SUMIFS(Table1[PM''s estimated ],Table1[Customer Project/WP], "TSVV*",Table1[ACH],Table2[[#This Row],[ACH]])</calculatedColumnFormula>
      <totalsRowFormula>SUBTOTAL(9,Table2[TSVVs])</totalsRowFormula>
    </tableColumn>
    <tableColumn id="5" xr3:uid="{7C1F568A-DDCA-459D-8569-4C2425464E84}" name="ENR" totalsRowFunction="custom" dataDxfId="14" totalsRowDxfId="13">
      <calculatedColumnFormula>SUMIFS(Table1[PM''s estimated ],Table1[Customer Project/WP], "ENR*",Table1[ACH],Table2[[#This Row],[ACH]])</calculatedColumnFormula>
      <totalsRowFormula>SUBTOTAL(9,Table2[ENR])</totalsRowFormula>
    </tableColumn>
    <tableColumn id="6" xr3:uid="{BED3F96F-4460-413A-BCAD-6F84899155D3}" name="W7X" totalsRowFunction="custom" dataDxfId="12" totalsRowDxfId="11">
      <calculatedColumnFormula>SUMIFS(Table1[PM''s estimated ],Table1[Customer Project/WP], "W7X*",Table1[ACH],Table2[[#This Row],[ACH]])</calculatedColumnFormula>
      <totalsRowFormula>SUBTOTAL(9,Table2[W7X])</totalsRowFormula>
    </tableColumn>
    <tableColumn id="7" xr3:uid="{F1235A9A-F825-49E9-BCC4-DF8EBEB99678}" name="PrIO" totalsRowFunction="custom" dataDxfId="10" totalsRowDxfId="9">
      <calculatedColumnFormula>SUMIFS(Table1[PM''s estimated ],Table1[Customer Project/WP], "PrIO*",Table1[ACH],Table2[[#This Row],[ACH]])</calculatedColumnFormula>
      <totalsRowFormula>SUBTOTAL(9,Table2[PrIO])</totalsRowFormula>
    </tableColumn>
    <tableColumn id="8" xr3:uid="{C09AB649-6B8F-4CC5-A272-8C468277971B}" name="TE" totalsRowFunction="custom" dataDxfId="8" totalsRowDxfId="7">
      <calculatedColumnFormula>SUMIFS(Table1[PM''s estimated ],Table1[Customer Project/WP], "TE*",Table1[ACH],Table2[[#This Row],[ACH]])</calculatedColumnFormula>
      <totalsRowFormula>SUBTOTAL(9,Table2[TE])</totalsRowFormula>
    </tableColumn>
    <tableColumn id="9" xr3:uid="{2CC03958-B0C7-475F-8697-7FC21AE8F968}" name="OTHER" totalsRowFunction="custom" dataDxfId="6" totalsRowDxfId="5">
      <calculatedColumnFormula>SUMIFS(Table1[PM''s estimated ],Table1[Code], "&lt;&gt;management",Table1[Customer Project/WP], "&lt;&gt;TSVV*",Table1[Customer Project/WP], "&lt;&gt;ENR*",Table1[Customer Project/WP], "&lt;&gt;W7X*",Table1[Customer Project/WP], "&lt;&gt;PrIO*",Table1[Customer Project/WP], "&lt;&gt;TE*",Table1[ACH],Table2[[#This Row],[ACH]])</calculatedColumnFormula>
      <totalsRowFormula>SUBTOTAL(9,Table2[OTHER])</totalsRowFormula>
    </tableColumn>
    <tableColumn id="10" xr3:uid="{97860D6E-D909-45E3-B25E-A18B509A17AB}" name="Balance" totalsRowFunction="custom" dataDxfId="4" totalsRowDxfId="3">
      <calculatedColumnFormula>SUM(Table2[[#This Row],[Planned Resources
(as in IMS)]:[Relocation of 2022 resources
(requested by PIs)]])-SUM(Table2[[#This Row],[Management]:[OTHER]])</calculatedColumnFormula>
      <totalsRowFormula>SUBTOTAL(9,Table2[Balance])</totalsRowFormula>
    </tableColumn>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8"/>
  <sheetViews>
    <sheetView tabSelected="1" zoomScaleNormal="100" workbookViewId="0">
      <pane xSplit="1" ySplit="6" topLeftCell="B7" activePane="bottomRight" state="frozen"/>
      <selection pane="topRight" activeCell="B1" sqref="B1"/>
      <selection pane="bottomLeft" activeCell="A7" sqref="A7"/>
      <selection pane="bottomRight" activeCell="A18" sqref="A18:XFD93"/>
    </sheetView>
  </sheetViews>
  <sheetFormatPr defaultColWidth="20.7109375" defaultRowHeight="12.75" x14ac:dyDescent="0.2"/>
  <cols>
    <col min="1" max="1" width="14.140625" customWidth="1"/>
    <col min="2" max="2" width="18.28515625" customWidth="1"/>
    <col min="3" max="3" width="23.5703125" customWidth="1"/>
    <col min="4" max="4" width="19.5703125" customWidth="1"/>
    <col min="5" max="5" width="10.7109375" customWidth="1"/>
    <col min="6" max="6" width="11.28515625" customWidth="1"/>
    <col min="7" max="7" width="12.5703125" customWidth="1"/>
    <col min="8" max="8" width="24.7109375" style="62" customWidth="1"/>
    <col min="9" max="9" width="72.28515625" customWidth="1"/>
    <col min="10" max="10" width="49" customWidth="1"/>
  </cols>
  <sheetData>
    <row r="1" spans="1:10" ht="26.25" x14ac:dyDescent="0.4">
      <c r="A1" s="66" t="s">
        <v>50</v>
      </c>
      <c r="B1" s="67"/>
      <c r="C1" s="67"/>
      <c r="D1" s="67"/>
      <c r="E1" s="67"/>
      <c r="F1" s="67"/>
      <c r="G1" s="67"/>
      <c r="H1" s="67"/>
    </row>
    <row r="2" spans="1:10" x14ac:dyDescent="0.2">
      <c r="G2" s="60"/>
    </row>
    <row r="3" spans="1:10" x14ac:dyDescent="0.2">
      <c r="A3" s="1"/>
    </row>
    <row r="4" spans="1:10" ht="18" x14ac:dyDescent="0.25">
      <c r="A4" s="68" t="s">
        <v>51</v>
      </c>
      <c r="B4" s="69"/>
      <c r="C4" s="69"/>
      <c r="D4" s="69"/>
      <c r="E4" s="69"/>
      <c r="F4" s="69"/>
      <c r="G4" s="69"/>
      <c r="H4" s="69"/>
    </row>
    <row r="5" spans="1:10" ht="15.75" x14ac:dyDescent="0.25">
      <c r="A5" s="4"/>
    </row>
    <row r="6" spans="1:10" s="5" customFormat="1" ht="25.5" x14ac:dyDescent="0.2">
      <c r="A6" s="8" t="s">
        <v>14</v>
      </c>
      <c r="B6" s="8" t="s">
        <v>26</v>
      </c>
      <c r="C6" s="7" t="s">
        <v>25</v>
      </c>
      <c r="D6" s="8" t="s">
        <v>0</v>
      </c>
      <c r="E6" s="8" t="s">
        <v>2</v>
      </c>
      <c r="F6" s="8" t="s">
        <v>4</v>
      </c>
      <c r="G6" s="8" t="s">
        <v>5</v>
      </c>
      <c r="H6" s="8" t="s">
        <v>3</v>
      </c>
      <c r="I6" s="8" t="s">
        <v>20</v>
      </c>
      <c r="J6" s="9" t="s">
        <v>1</v>
      </c>
    </row>
    <row r="7" spans="1:10" ht="15" x14ac:dyDescent="0.2">
      <c r="A7" s="10" t="s">
        <v>22</v>
      </c>
      <c r="B7" s="18" t="s">
        <v>14</v>
      </c>
      <c r="C7" s="11" t="s">
        <v>35</v>
      </c>
      <c r="D7" s="3" t="s">
        <v>34</v>
      </c>
      <c r="E7" s="2"/>
      <c r="F7" s="14">
        <v>3</v>
      </c>
      <c r="G7" s="58">
        <v>3</v>
      </c>
      <c r="H7" s="61" t="s">
        <v>34</v>
      </c>
      <c r="I7" s="3" t="s">
        <v>36</v>
      </c>
      <c r="J7" s="3" t="s">
        <v>81</v>
      </c>
    </row>
    <row r="8" spans="1:10" ht="25.5" x14ac:dyDescent="0.2">
      <c r="A8" s="10" t="s">
        <v>22</v>
      </c>
      <c r="B8" s="13" t="s">
        <v>17</v>
      </c>
      <c r="C8" s="11" t="s">
        <v>24</v>
      </c>
      <c r="D8" s="3" t="s">
        <v>52</v>
      </c>
      <c r="E8" s="2" t="s">
        <v>6</v>
      </c>
      <c r="F8" s="12">
        <v>2</v>
      </c>
      <c r="G8" s="58">
        <v>3</v>
      </c>
      <c r="H8" s="61" t="s">
        <v>71</v>
      </c>
      <c r="I8" s="3" t="s">
        <v>54</v>
      </c>
      <c r="J8" s="3" t="s">
        <v>53</v>
      </c>
    </row>
    <row r="9" spans="1:10" ht="25.5" x14ac:dyDescent="0.2">
      <c r="A9" s="10" t="s">
        <v>22</v>
      </c>
      <c r="B9" s="13" t="s">
        <v>10</v>
      </c>
      <c r="C9" s="11" t="s">
        <v>24</v>
      </c>
      <c r="D9" s="3" t="s">
        <v>52</v>
      </c>
      <c r="E9" s="2" t="s">
        <v>6</v>
      </c>
      <c r="F9" s="12">
        <v>2</v>
      </c>
      <c r="G9" s="58">
        <v>3</v>
      </c>
      <c r="H9" s="61" t="s">
        <v>71</v>
      </c>
      <c r="I9" s="3" t="s">
        <v>54</v>
      </c>
      <c r="J9" s="3" t="s">
        <v>53</v>
      </c>
    </row>
    <row r="10" spans="1:10" ht="140.25" x14ac:dyDescent="0.2">
      <c r="A10" s="10" t="s">
        <v>22</v>
      </c>
      <c r="B10" s="13" t="s">
        <v>10</v>
      </c>
      <c r="C10" s="65" t="s">
        <v>78</v>
      </c>
      <c r="D10" s="6" t="s">
        <v>68</v>
      </c>
      <c r="E10" s="2" t="s">
        <v>6</v>
      </c>
      <c r="F10" s="14">
        <v>6</v>
      </c>
      <c r="G10" s="58">
        <v>6</v>
      </c>
      <c r="H10" s="61" t="s">
        <v>79</v>
      </c>
      <c r="I10" s="3" t="s">
        <v>55</v>
      </c>
      <c r="J10" s="61"/>
    </row>
    <row r="11" spans="1:10" ht="25.5" x14ac:dyDescent="0.2">
      <c r="A11" s="15" t="s">
        <v>22</v>
      </c>
      <c r="B11" s="13" t="s">
        <v>11</v>
      </c>
      <c r="C11" s="11" t="s">
        <v>24</v>
      </c>
      <c r="D11" s="3" t="s">
        <v>52</v>
      </c>
      <c r="E11" s="2" t="s">
        <v>6</v>
      </c>
      <c r="F11" s="12">
        <v>2</v>
      </c>
      <c r="G11" s="58">
        <v>3</v>
      </c>
      <c r="H11" s="61" t="s">
        <v>71</v>
      </c>
      <c r="I11" s="3" t="s">
        <v>54</v>
      </c>
      <c r="J11" s="3" t="s">
        <v>53</v>
      </c>
    </row>
    <row r="12" spans="1:10" ht="38.25" x14ac:dyDescent="0.2">
      <c r="A12" s="10" t="s">
        <v>22</v>
      </c>
      <c r="B12" s="18" t="s">
        <v>11</v>
      </c>
      <c r="C12" s="11" t="s">
        <v>28</v>
      </c>
      <c r="D12" s="6" t="s">
        <v>56</v>
      </c>
      <c r="E12" s="2" t="s">
        <v>6</v>
      </c>
      <c r="F12" s="2">
        <v>6</v>
      </c>
      <c r="G12" s="58">
        <v>10</v>
      </c>
      <c r="H12" s="61" t="s">
        <v>72</v>
      </c>
      <c r="I12" s="3" t="s">
        <v>57</v>
      </c>
      <c r="J12" s="3" t="s">
        <v>58</v>
      </c>
    </row>
    <row r="13" spans="1:10" ht="15" x14ac:dyDescent="0.2">
      <c r="A13" s="10" t="s">
        <v>22</v>
      </c>
      <c r="B13" s="13" t="s">
        <v>11</v>
      </c>
      <c r="C13" s="11" t="s">
        <v>29</v>
      </c>
      <c r="D13" s="6" t="s">
        <v>32</v>
      </c>
      <c r="E13" s="2" t="s">
        <v>6</v>
      </c>
      <c r="F13" s="2">
        <v>10</v>
      </c>
      <c r="G13" s="58">
        <v>12</v>
      </c>
      <c r="H13" s="63" t="s">
        <v>73</v>
      </c>
      <c r="I13" s="2" t="s">
        <v>59</v>
      </c>
      <c r="J13" s="3" t="s">
        <v>60</v>
      </c>
    </row>
    <row r="14" spans="1:10" ht="89.25" x14ac:dyDescent="0.2">
      <c r="A14" s="10" t="s">
        <v>22</v>
      </c>
      <c r="B14" s="13" t="s">
        <v>12</v>
      </c>
      <c r="C14" s="11" t="s">
        <v>18</v>
      </c>
      <c r="D14" s="6" t="s">
        <v>7</v>
      </c>
      <c r="E14" s="2" t="s">
        <v>6</v>
      </c>
      <c r="F14" s="2">
        <v>12</v>
      </c>
      <c r="G14" s="58">
        <v>12</v>
      </c>
      <c r="H14" s="63" t="s">
        <v>74</v>
      </c>
      <c r="I14" s="2" t="s">
        <v>61</v>
      </c>
      <c r="J14" s="3" t="s">
        <v>62</v>
      </c>
    </row>
    <row r="15" spans="1:10" ht="63.75" x14ac:dyDescent="0.2">
      <c r="A15" s="10" t="s">
        <v>22</v>
      </c>
      <c r="B15" s="13" t="s">
        <v>16</v>
      </c>
      <c r="C15" s="11" t="s">
        <v>30</v>
      </c>
      <c r="D15" s="6" t="s">
        <v>63</v>
      </c>
      <c r="E15" s="14" t="s">
        <v>6</v>
      </c>
      <c r="F15" s="14">
        <v>4</v>
      </c>
      <c r="G15" s="58">
        <v>12</v>
      </c>
      <c r="H15" s="61" t="s">
        <v>75</v>
      </c>
      <c r="I15" s="3" t="s">
        <v>64</v>
      </c>
      <c r="J15" s="3" t="s">
        <v>65</v>
      </c>
    </row>
    <row r="16" spans="1:10" ht="153" x14ac:dyDescent="0.2">
      <c r="A16" s="54" t="s">
        <v>22</v>
      </c>
      <c r="B16" s="55" t="s">
        <v>9</v>
      </c>
      <c r="C16" s="56" t="s">
        <v>69</v>
      </c>
      <c r="D16" s="53" t="s">
        <v>70</v>
      </c>
      <c r="E16" s="57" t="s">
        <v>8</v>
      </c>
      <c r="F16" s="14"/>
      <c r="G16" s="59">
        <v>12</v>
      </c>
      <c r="H16" s="63" t="s">
        <v>76</v>
      </c>
      <c r="I16" s="3" t="s">
        <v>80</v>
      </c>
      <c r="J16" s="6"/>
    </row>
    <row r="17" spans="1:10" ht="178.5" x14ac:dyDescent="0.2">
      <c r="A17" s="10" t="s">
        <v>22</v>
      </c>
      <c r="B17" s="13" t="s">
        <v>13</v>
      </c>
      <c r="C17" s="11" t="s">
        <v>31</v>
      </c>
      <c r="D17" s="6" t="s">
        <v>33</v>
      </c>
      <c r="E17" s="2" t="s">
        <v>6</v>
      </c>
      <c r="F17" s="2">
        <v>5</v>
      </c>
      <c r="G17" s="58">
        <v>6</v>
      </c>
      <c r="H17" s="63" t="s">
        <v>77</v>
      </c>
      <c r="I17" s="2" t="s">
        <v>66</v>
      </c>
      <c r="J17" s="3"/>
    </row>
    <row r="18" spans="1:10" ht="15.75" x14ac:dyDescent="0.25">
      <c r="A18" s="17"/>
      <c r="B18" s="17"/>
      <c r="C18" s="17"/>
      <c r="D18" s="17"/>
      <c r="E18" s="17"/>
      <c r="F18" s="17"/>
      <c r="G18" s="16">
        <f>SUBTOTAL(9,Table1[PM''s estimated ])</f>
        <v>82</v>
      </c>
      <c r="H18" s="64"/>
      <c r="I18" s="17"/>
      <c r="J18" s="17"/>
    </row>
  </sheetData>
  <customSheetViews>
    <customSheetView guid="{0AAB5E24-D396-41B0-9177-D1A7B5C74500}" showPageBreaks="1" fitToPage="1" printArea="1" topLeftCell="A10">
      <selection activeCell="G15" sqref="G15"/>
      <pageMargins left="0.78740157499999996" right="0.78740157499999996" top="0.984251969" bottom="0.984251969" header="0.4921259845" footer="0.4921259845"/>
      <pageSetup paperSize="8" scale="88" orientation="landscape" horizontalDpi="300" verticalDpi="300" r:id="rId1"/>
      <headerFooter alignWithMargins="0"/>
    </customSheetView>
    <customSheetView guid="{70C9F1A8-2C4F-4FB5-962D-19CF0A9E740B}">
      <selection activeCell="D29" sqref="D29"/>
      <pageMargins left="0.78740157499999996" right="0.78740157499999996" top="0.984251969" bottom="0.984251969" header="0.4921259845" footer="0.4921259845"/>
      <pageSetup paperSize="9" orientation="landscape" horizontalDpi="300" verticalDpi="300" r:id="rId2"/>
      <headerFooter alignWithMargins="0"/>
    </customSheetView>
    <customSheetView guid="{F7D7789C-FBAC-431D-A9A9-71EC61653D62}" topLeftCell="A10">
      <selection activeCell="G32" sqref="G32"/>
      <pageMargins left="0.78740157499999996" right="0.78740157499999996" top="0.984251969" bottom="0.984251969" header="0.4921259845" footer="0.4921259845"/>
      <pageSetup paperSize="9" orientation="landscape" horizontalDpi="300" verticalDpi="300" r:id="rId3"/>
      <headerFooter alignWithMargins="0"/>
    </customSheetView>
    <customSheetView guid="{C820A875-0E22-46D9-869C-BD2F25C73CAE}">
      <selection activeCell="F14" sqref="F14"/>
      <pageMargins left="0.78740157499999996" right="0.78740157499999996" top="0.984251969" bottom="0.984251969" header="0.4921259845" footer="0.4921259845"/>
      <pageSetup paperSize="9" orientation="landscape" horizontalDpi="300" verticalDpi="300" r:id="rId4"/>
      <headerFooter alignWithMargins="0"/>
    </customSheetView>
    <customSheetView guid="{8B8D0B4A-1C50-4BE2-AE92-DB16F109CE92}" topLeftCell="A6">
      <selection activeCell="A22" sqref="A22"/>
      <pageMargins left="0.78740157499999996" right="0.78740157499999996" top="0.984251969" bottom="0.984251969" header="0.4921259845" footer="0.4921259845"/>
      <pageSetup paperSize="9" orientation="landscape" horizontalDpi="300" verticalDpi="300" r:id="rId5"/>
      <headerFooter alignWithMargins="0"/>
    </customSheetView>
    <customSheetView guid="{149FA714-E1B7-4ADC-B778-E25391C40B7D}" showRuler="0">
      <selection activeCell="D2" sqref="D2"/>
      <pageMargins left="0.78740157499999996" right="0.78740157499999996" top="0.984251969" bottom="0.984251969" header="0.4921259845" footer="0.4921259845"/>
      <pageSetup paperSize="9" orientation="landscape" horizontalDpi="300" verticalDpi="300" r:id="rId6"/>
      <headerFooter alignWithMargins="0"/>
    </customSheetView>
    <customSheetView guid="{07B7A4B4-0642-4742-AD16-FE89B68C3969}" showPageBreaks="1" topLeftCell="B1">
      <selection activeCell="G7" sqref="G7"/>
      <pageMargins left="0.78740157499999996" right="0.78740157499999996" top="0.984251969" bottom="0.984251969" header="0.4921259845" footer="0.4921259845"/>
      <pageSetup paperSize="9" orientation="landscape" horizontalDpi="300" verticalDpi="300" r:id="rId7"/>
      <headerFooter alignWithMargins="0"/>
    </customSheetView>
  </customSheetViews>
  <mergeCells count="2">
    <mergeCell ref="A1:H1"/>
    <mergeCell ref="A4:H4"/>
  </mergeCells>
  <phoneticPr fontId="1" type="noConversion"/>
  <dataValidations count="1">
    <dataValidation type="list" allowBlank="1" showInputMessage="1" showErrorMessage="1" sqref="A7:A17" xr:uid="{00000000-0002-0000-0000-000000000000}">
      <formula1>"CIEMAT, EPFL,IPPLM,MPG,VTT"</formula1>
    </dataValidation>
  </dataValidations>
  <pageMargins left="0.78740157499999996" right="0.78740157499999996" top="0.984251969" bottom="0.984251969" header="0.4921259845" footer="0.4921259845"/>
  <pageSetup paperSize="9" scale="17" orientation="landscape" r:id="rId8"/>
  <headerFooter alignWithMargins="0"/>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52EFF-5C01-469A-A2AE-5DB11A1EFFBD}">
  <dimension ref="A1:I27"/>
  <sheetViews>
    <sheetView workbookViewId="0">
      <selection activeCell="H20" sqref="H20"/>
    </sheetView>
  </sheetViews>
  <sheetFormatPr defaultColWidth="8.7109375" defaultRowHeight="12.75" x14ac:dyDescent="0.2"/>
  <cols>
    <col min="1" max="1" width="18.140625" customWidth="1"/>
    <col min="2" max="2" width="20.85546875" customWidth="1"/>
    <col min="3" max="3" width="21.28515625" customWidth="1"/>
    <col min="4" max="4" width="15.7109375" customWidth="1"/>
    <col min="5" max="5" width="17.42578125" customWidth="1"/>
    <col min="6" max="6" width="16.7109375" customWidth="1"/>
    <col min="7" max="7" width="20.28515625" customWidth="1"/>
    <col min="8" max="9" width="63.42578125" customWidth="1"/>
  </cols>
  <sheetData>
    <row r="1" spans="1:9" ht="23.25" x14ac:dyDescent="0.35">
      <c r="A1" s="70" t="s">
        <v>49</v>
      </c>
      <c r="B1" s="71"/>
      <c r="C1" s="71"/>
      <c r="D1" s="71"/>
      <c r="E1" s="71"/>
      <c r="F1" s="71"/>
      <c r="G1" s="71"/>
      <c r="H1" s="71"/>
      <c r="I1" s="71"/>
    </row>
    <row r="2" spans="1:9" ht="25.5" x14ac:dyDescent="0.35">
      <c r="A2" s="27"/>
      <c r="H2" s="1"/>
      <c r="I2" s="1"/>
    </row>
    <row r="3" spans="1:9" ht="41.25" customHeight="1" x14ac:dyDescent="0.2">
      <c r="A3" s="28" t="s">
        <v>44</v>
      </c>
      <c r="B3" s="29" t="s">
        <v>0</v>
      </c>
      <c r="C3" s="30" t="s">
        <v>26</v>
      </c>
      <c r="D3" s="30" t="s">
        <v>2</v>
      </c>
      <c r="E3" s="30" t="s">
        <v>4</v>
      </c>
      <c r="F3" s="30" t="s">
        <v>45</v>
      </c>
      <c r="G3" s="30" t="s">
        <v>48</v>
      </c>
      <c r="H3" s="30" t="s">
        <v>46</v>
      </c>
      <c r="I3" s="31" t="s">
        <v>47</v>
      </c>
    </row>
    <row r="4" spans="1:9" ht="30" customHeight="1" x14ac:dyDescent="0.2">
      <c r="A4" s="47"/>
      <c r="B4" s="49"/>
      <c r="C4" s="33"/>
      <c r="D4" s="32"/>
      <c r="E4" s="34"/>
      <c r="F4" s="34"/>
      <c r="G4" s="45"/>
      <c r="H4" s="35"/>
      <c r="I4" s="46"/>
    </row>
    <row r="5" spans="1:9" ht="30" customHeight="1" x14ac:dyDescent="0.2">
      <c r="A5" s="48"/>
      <c r="B5" s="50"/>
      <c r="C5" s="33"/>
      <c r="D5" s="32"/>
      <c r="E5" s="36"/>
      <c r="F5" s="36"/>
      <c r="G5" s="45"/>
      <c r="H5" s="37"/>
      <c r="I5" s="38"/>
    </row>
    <row r="6" spans="1:9" ht="30" customHeight="1" x14ac:dyDescent="0.2">
      <c r="A6" s="47"/>
      <c r="B6" s="32"/>
      <c r="C6" s="33"/>
      <c r="D6" s="32"/>
      <c r="E6" s="36"/>
      <c r="F6" s="36"/>
      <c r="G6" s="45"/>
      <c r="H6" s="38"/>
      <c r="I6" s="38"/>
    </row>
    <row r="7" spans="1:9" ht="30" customHeight="1" x14ac:dyDescent="0.2">
      <c r="A7" s="47"/>
      <c r="B7" s="49"/>
      <c r="C7" s="33"/>
      <c r="D7" s="32"/>
      <c r="E7" s="36"/>
      <c r="F7" s="36"/>
      <c r="G7" s="45"/>
      <c r="H7" s="37"/>
      <c r="I7" s="38"/>
    </row>
    <row r="8" spans="1:9" ht="30" customHeight="1" x14ac:dyDescent="0.2">
      <c r="A8" s="47"/>
      <c r="B8" s="49"/>
      <c r="C8" s="33"/>
      <c r="D8" s="32"/>
      <c r="E8" s="36"/>
      <c r="F8" s="36"/>
      <c r="G8" s="45"/>
      <c r="H8" s="37"/>
      <c r="I8" s="38"/>
    </row>
    <row r="9" spans="1:9" ht="30" customHeight="1" x14ac:dyDescent="0.2">
      <c r="A9" s="47"/>
      <c r="B9" s="49"/>
      <c r="C9" s="33"/>
      <c r="D9" s="32"/>
      <c r="E9" s="36"/>
      <c r="F9" s="36"/>
      <c r="G9" s="45"/>
      <c r="H9" s="37"/>
      <c r="I9" s="38"/>
    </row>
    <row r="10" spans="1:9" ht="30" customHeight="1" x14ac:dyDescent="0.2">
      <c r="A10" s="48"/>
      <c r="B10" s="51"/>
      <c r="C10" s="33"/>
      <c r="D10" s="32"/>
      <c r="E10" s="36"/>
      <c r="F10" s="36"/>
      <c r="G10" s="45"/>
      <c r="H10" s="37"/>
      <c r="I10" s="38"/>
    </row>
    <row r="11" spans="1:9" ht="30" customHeight="1" x14ac:dyDescent="0.2">
      <c r="A11" s="48"/>
      <c r="B11" s="39"/>
      <c r="C11" s="33"/>
      <c r="D11" s="32"/>
      <c r="E11" s="36"/>
      <c r="F11" s="36"/>
      <c r="G11" s="45"/>
      <c r="H11" s="37"/>
      <c r="I11" s="38"/>
    </row>
    <row r="12" spans="1:9" ht="30" customHeight="1" x14ac:dyDescent="0.2">
      <c r="A12" s="47"/>
      <c r="B12" s="52"/>
      <c r="C12" s="41"/>
      <c r="D12" s="40"/>
      <c r="E12" s="42"/>
      <c r="F12" s="42"/>
      <c r="G12" s="45"/>
      <c r="H12" s="43"/>
      <c r="I12" s="44"/>
    </row>
    <row r="13" spans="1:9" ht="20.100000000000001" customHeight="1" x14ac:dyDescent="0.2"/>
    <row r="14" spans="1:9" ht="20.100000000000001" customHeight="1" x14ac:dyDescent="0.2"/>
    <row r="15" spans="1:9" ht="20.100000000000001" customHeight="1" x14ac:dyDescent="0.2"/>
    <row r="16" spans="1:9" ht="20.100000000000001" customHeight="1" x14ac:dyDescent="0.2"/>
    <row r="17" ht="20.100000000000001" customHeight="1" x14ac:dyDescent="0.2"/>
    <row r="18" ht="20.100000000000001" customHeight="1" x14ac:dyDescent="0.2"/>
    <row r="19" ht="20.100000000000001" customHeight="1" x14ac:dyDescent="0.2"/>
    <row r="20" ht="20.100000000000001" customHeight="1" x14ac:dyDescent="0.2"/>
    <row r="21" ht="20.100000000000001" customHeight="1" x14ac:dyDescent="0.2"/>
    <row r="22" ht="20.100000000000001" customHeight="1" x14ac:dyDescent="0.2"/>
    <row r="23" ht="20.100000000000001" customHeight="1" x14ac:dyDescent="0.2"/>
    <row r="24" ht="20.100000000000001" customHeight="1" x14ac:dyDescent="0.2"/>
    <row r="25" ht="20.100000000000001" customHeight="1" x14ac:dyDescent="0.2"/>
    <row r="26" ht="20.100000000000001" customHeight="1" x14ac:dyDescent="0.2"/>
    <row r="27" ht="20.100000000000001" customHeight="1" x14ac:dyDescent="0.2"/>
  </sheetData>
  <mergeCells count="1">
    <mergeCell ref="A1:I1"/>
  </mergeCells>
  <dataValidations count="1">
    <dataValidation type="list" allowBlank="1" showInputMessage="1" showErrorMessage="1" sqref="G4:G12" xr:uid="{9F28020D-A964-4F87-996E-5B79D573E66C}">
      <formula1>"CIEMAT, EPFL,IPPLM,MPG,VTT"</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C1612-3290-4885-9764-F5CEEBCAF80C}">
  <dimension ref="A1:K7"/>
  <sheetViews>
    <sheetView zoomScale="115" zoomScaleNormal="115" workbookViewId="0">
      <selection activeCell="G10" sqref="G10"/>
    </sheetView>
  </sheetViews>
  <sheetFormatPr defaultColWidth="8.7109375" defaultRowHeight="12.75" x14ac:dyDescent="0.2"/>
  <cols>
    <col min="1" max="1" width="12.28515625" customWidth="1"/>
    <col min="2" max="2" width="17" bestFit="1" customWidth="1"/>
    <col min="3" max="3" width="20.85546875" customWidth="1"/>
    <col min="4" max="8" width="15.7109375" customWidth="1"/>
    <col min="9" max="9" width="17.28515625" bestFit="1" customWidth="1"/>
    <col min="10" max="11" width="20.7109375" customWidth="1"/>
    <col min="12" max="25" width="8.5703125" bestFit="1" customWidth="1"/>
    <col min="26" max="26" width="11.7109375" bestFit="1" customWidth="1"/>
  </cols>
  <sheetData>
    <row r="1" spans="1:11" ht="53.25" customHeight="1" x14ac:dyDescent="0.2">
      <c r="A1" s="22" t="s">
        <v>14</v>
      </c>
      <c r="B1" s="23" t="s">
        <v>37</v>
      </c>
      <c r="C1" s="23" t="s">
        <v>43</v>
      </c>
      <c r="D1" s="23" t="s">
        <v>38</v>
      </c>
      <c r="E1" s="23" t="s">
        <v>39</v>
      </c>
      <c r="F1" s="23" t="s">
        <v>40</v>
      </c>
      <c r="G1" s="23" t="s">
        <v>67</v>
      </c>
      <c r="H1" s="23" t="s">
        <v>21</v>
      </c>
      <c r="I1" s="23" t="s">
        <v>9</v>
      </c>
      <c r="J1" s="23" t="s">
        <v>41</v>
      </c>
      <c r="K1" s="23" t="s">
        <v>42</v>
      </c>
    </row>
    <row r="2" spans="1:11" ht="15.75" x14ac:dyDescent="0.25">
      <c r="A2" s="19" t="s">
        <v>22</v>
      </c>
      <c r="B2" s="20">
        <v>72</v>
      </c>
      <c r="C2" s="26"/>
      <c r="D2" s="21">
        <f>SUMIFS(Table1[PM''s estimated ],Table1[Code], "management",Table1[ACH],Table2[[#This Row],[ACH]])</f>
        <v>3</v>
      </c>
      <c r="E2" s="21">
        <f>SUMIFS(Table1[PM''s estimated ],Table1[Customer Project/WP], "TSVV*",Table1[ACH],Table2[[#This Row],[ACH]])</f>
        <v>67</v>
      </c>
      <c r="F2" s="21">
        <f>SUMIFS(Table1[PM''s estimated ],Table1[Customer Project/WP], "ENR*",Table1[ACH],Table2[[#This Row],[ACH]])</f>
        <v>0</v>
      </c>
      <c r="G2" s="21">
        <f>SUMIFS(Table1[PM''s estimated ],Table1[Customer Project/WP], "W7X*",Table1[ACH],Table2[[#This Row],[ACH]])</f>
        <v>0</v>
      </c>
      <c r="H2" s="21">
        <f>SUMIFS(Table1[PM''s estimated ],Table1[Customer Project/WP], "PrIO*",Table1[ACH],Table2[[#This Row],[ACH]])</f>
        <v>0</v>
      </c>
      <c r="I2" s="21">
        <f>SUMIFS(Table1[PM''s estimated ],Table1[Customer Project/WP], "TE*",Table1[ACH],Table2[[#This Row],[ACH]])</f>
        <v>12</v>
      </c>
      <c r="J2" s="21">
        <f>SUMIFS(Table1[PM''s estimated ],Table1[Code], "&lt;&gt;management",Table1[Customer Project/WP], "&lt;&gt;TSVV*",Table1[Customer Project/WP], "&lt;&gt;ENR*",Table1[Customer Project/WP], "&lt;&gt;W7X*",Table1[Customer Project/WP], "&lt;&gt;PrIO*",Table1[Customer Project/WP], "&lt;&gt;TE*",Table1[ACH],Table2[[#This Row],[ACH]])</f>
        <v>0</v>
      </c>
      <c r="K2" s="21">
        <f>SUM(Table2[[#This Row],[Planned Resources
(as in IMS)]:[Relocation of 2022 resources
(requested by PIs)]])-SUM(Table2[[#This Row],[Management]:[OTHER]])</f>
        <v>-10</v>
      </c>
    </row>
    <row r="3" spans="1:11" ht="15.75" x14ac:dyDescent="0.25">
      <c r="A3" s="19" t="s">
        <v>19</v>
      </c>
      <c r="B3" s="20">
        <v>72</v>
      </c>
      <c r="C3" s="26"/>
      <c r="D3" s="21">
        <f>SUMIFS(Table1[PM''s estimated ],Table1[Code], "management",Table1[ACH],Table2[[#This Row],[ACH]])</f>
        <v>0</v>
      </c>
      <c r="E3" s="21">
        <f>SUMIFS(Table1[PM''s estimated ],Table1[Customer Project/WP], "TSVV*",Table1[ACH],Table2[[#This Row],[ACH]])</f>
        <v>0</v>
      </c>
      <c r="F3" s="21">
        <f>SUMIFS(Table1[PM''s estimated ],Table1[Customer Project/WP], "ENR*",Table1[ACH],Table2[[#This Row],[ACH]])</f>
        <v>0</v>
      </c>
      <c r="G3" s="21">
        <f>SUMIFS(Table1[PM''s estimated ],Table1[Customer Project/WP], "W7X*",Table1[ACH],Table2[[#This Row],[ACH]])</f>
        <v>0</v>
      </c>
      <c r="H3" s="21">
        <f>SUMIFS(Table1[PM''s estimated ],Table1[Customer Project/WP], "PrIO*",Table1[ACH],Table2[[#This Row],[ACH]])</f>
        <v>0</v>
      </c>
      <c r="I3" s="21">
        <f>SUMIFS(Table1[PM''s estimated ],Table1[Customer Project/WP], "TE*",Table1[ACH],Table2[[#This Row],[ACH]])</f>
        <v>0</v>
      </c>
      <c r="J3" s="21">
        <f>SUMIFS(Table1[PM''s estimated ],Table1[Code], "&lt;&gt;management",Table1[Customer Project/WP], "&lt;&gt;TSVV*",Table1[Customer Project/WP], "&lt;&gt;ENR*",Table1[Customer Project/WP], "&lt;&gt;W7X*",Table1[Customer Project/WP], "&lt;&gt;PrIO*",Table1[Customer Project/WP], "&lt;&gt;TE*",Table1[ACH],Table2[[#This Row],[ACH]])</f>
        <v>0</v>
      </c>
      <c r="K3" s="21">
        <f>SUM(Table2[[#This Row],[Planned Resources
(as in IMS)]:[Relocation of 2022 resources
(requested by PIs)]])-SUM(Table2[[#This Row],[Management]:[OTHER]])</f>
        <v>72</v>
      </c>
    </row>
    <row r="4" spans="1:11" ht="15.75" x14ac:dyDescent="0.25">
      <c r="A4" s="19" t="s">
        <v>23</v>
      </c>
      <c r="B4" s="20">
        <v>108.4</v>
      </c>
      <c r="C4" s="26"/>
      <c r="D4" s="21">
        <f>SUMIFS(Table1[PM''s estimated ],Table1[Code], "management",Table1[ACH],Table2[[#This Row],[ACH]])</f>
        <v>0</v>
      </c>
      <c r="E4" s="21">
        <f>SUMIFS(Table1[PM''s estimated ],Table1[Customer Project/WP], "TSVV*",Table1[ACH],Table2[[#This Row],[ACH]])</f>
        <v>0</v>
      </c>
      <c r="F4" s="21">
        <f>SUMIFS(Table1[PM''s estimated ],Table1[Customer Project/WP], "ENR*",Table1[ACH],Table2[[#This Row],[ACH]])</f>
        <v>0</v>
      </c>
      <c r="G4" s="21">
        <f>SUMIFS(Table1[PM''s estimated ],Table1[Customer Project/WP], "W7X*",Table1[ACH],Table2[[#This Row],[ACH]])</f>
        <v>0</v>
      </c>
      <c r="H4" s="21">
        <f>SUMIFS(Table1[PM''s estimated ],Table1[Customer Project/WP], "PrIO*",Table1[ACH],Table2[[#This Row],[ACH]])</f>
        <v>0</v>
      </c>
      <c r="I4" s="21">
        <f>SUMIFS(Table1[PM''s estimated ],Table1[Customer Project/WP], "TE*",Table1[ACH],Table2[[#This Row],[ACH]])</f>
        <v>0</v>
      </c>
      <c r="J4" s="21">
        <f>SUMIFS(Table1[PM''s estimated ],Table1[Code], "&lt;&gt;management",Table1[Customer Project/WP], "&lt;&gt;TSVV*",Table1[Customer Project/WP], "&lt;&gt;ENR*",Table1[Customer Project/WP], "&lt;&gt;W7X*",Table1[Customer Project/WP], "&lt;&gt;PrIO*",Table1[Customer Project/WP], "&lt;&gt;TE*",Table1[ACH],Table2[[#This Row],[ACH]])</f>
        <v>0</v>
      </c>
      <c r="K4" s="21">
        <f>SUM(Table2[[#This Row],[Planned Resources
(as in IMS)]:[Relocation of 2022 resources
(requested by PIs)]])-SUM(Table2[[#This Row],[Management]:[OTHER]])</f>
        <v>108.4</v>
      </c>
    </row>
    <row r="5" spans="1:11" ht="15.75" x14ac:dyDescent="0.25">
      <c r="A5" s="19" t="s">
        <v>15</v>
      </c>
      <c r="B5" s="20">
        <v>108</v>
      </c>
      <c r="C5" s="26"/>
      <c r="D5" s="21">
        <f>SUMIFS(Table1[PM''s estimated ],Table1[Code], "management",Table1[ACH],Table2[[#This Row],[ACH]])</f>
        <v>0</v>
      </c>
      <c r="E5" s="21">
        <f>SUMIFS(Table1[PM''s estimated ],Table1[Customer Project/WP], "TSVV*",Table1[ACH],Table2[[#This Row],[ACH]])</f>
        <v>0</v>
      </c>
      <c r="F5" s="21">
        <f>SUMIFS(Table1[PM''s estimated ],Table1[Customer Project/WP], "ENR*",Table1[ACH],Table2[[#This Row],[ACH]])</f>
        <v>0</v>
      </c>
      <c r="G5" s="21">
        <f>SUMIFS(Table1[PM''s estimated ],Table1[Customer Project/WP], "W7X*",Table1[ACH],Table2[[#This Row],[ACH]])</f>
        <v>0</v>
      </c>
      <c r="H5" s="21">
        <f>SUMIFS(Table1[PM''s estimated ],Table1[Customer Project/WP], "PrIO*",Table1[ACH],Table2[[#This Row],[ACH]])</f>
        <v>0</v>
      </c>
      <c r="I5" s="21">
        <f>SUMIFS(Table1[PM''s estimated ],Table1[Customer Project/WP], "TE*",Table1[ACH],Table2[[#This Row],[ACH]])</f>
        <v>0</v>
      </c>
      <c r="J5" s="21">
        <f>SUMIFS(Table1[PM''s estimated ],Table1[Code], "&lt;&gt;management",Table1[Customer Project/WP], "&lt;&gt;TSVV*",Table1[Customer Project/WP], "&lt;&gt;ENR*",Table1[Customer Project/WP], "&lt;&gt;W7X*",Table1[Customer Project/WP], "&lt;&gt;PrIO*",Table1[Customer Project/WP], "&lt;&gt;TE*",Table1[ACH],Table2[[#This Row],[ACH]])</f>
        <v>0</v>
      </c>
      <c r="K5" s="21">
        <f>SUM(Table2[[#This Row],[Planned Resources
(as in IMS)]:[Relocation of 2022 resources
(requested by PIs)]])-SUM(Table2[[#This Row],[Management]:[OTHER]])</f>
        <v>108</v>
      </c>
    </row>
    <row r="6" spans="1:11" ht="15.75" x14ac:dyDescent="0.25">
      <c r="A6" s="19" t="s">
        <v>27</v>
      </c>
      <c r="B6" s="20">
        <v>96</v>
      </c>
      <c r="C6" s="26"/>
      <c r="D6" s="21">
        <f>SUMIFS(Table1[PM''s estimated ],Table1[Code], "management",Table1[ACH],Table2[[#This Row],[ACH]])</f>
        <v>0</v>
      </c>
      <c r="E6" s="21">
        <f>SUMIFS(Table1[PM''s estimated ],Table1[Customer Project/WP], "TSVV*",Table1[ACH],Table2[[#This Row],[ACH]])</f>
        <v>0</v>
      </c>
      <c r="F6" s="21">
        <f>SUMIFS(Table1[PM''s estimated ],Table1[Customer Project/WP], "ENR*",Table1[ACH],Table2[[#This Row],[ACH]])</f>
        <v>0</v>
      </c>
      <c r="G6" s="21">
        <f>SUMIFS(Table1[PM''s estimated ],Table1[Customer Project/WP], "W7X*",Table1[ACH],Table2[[#This Row],[ACH]])</f>
        <v>0</v>
      </c>
      <c r="H6" s="21">
        <f>SUMIFS(Table1[PM''s estimated ],Table1[Customer Project/WP], "PrIO*",Table1[ACH],Table2[[#This Row],[ACH]])</f>
        <v>0</v>
      </c>
      <c r="I6" s="21">
        <f>SUMIFS(Table1[PM''s estimated ],Table1[Customer Project/WP], "TE*",Table1[ACH],Table2[[#This Row],[ACH]])</f>
        <v>0</v>
      </c>
      <c r="J6" s="21">
        <f>SUMIFS(Table1[PM''s estimated ],Table1[Code], "&lt;&gt;management",Table1[Customer Project/WP], "&lt;&gt;TSVV*",Table1[Customer Project/WP], "&lt;&gt;ENR*",Table1[Customer Project/WP], "&lt;&gt;W7X*",Table1[Customer Project/WP], "&lt;&gt;PrIO*",Table1[Customer Project/WP], "&lt;&gt;TE*",Table1[ACH],Table2[[#This Row],[ACH]])</f>
        <v>0</v>
      </c>
      <c r="K6" s="21">
        <f>SUM(Table2[[#This Row],[Planned Resources
(as in IMS)]:[Relocation of 2022 resources
(requested by PIs)]])-SUM(Table2[[#This Row],[Management]:[OTHER]])</f>
        <v>96</v>
      </c>
    </row>
    <row r="7" spans="1:11" ht="36.75" customHeight="1" x14ac:dyDescent="0.25">
      <c r="A7" s="24"/>
      <c r="B7" s="25">
        <f>SUBTOTAL(9,Table2[Planned Resources
(as in IMS)])</f>
        <v>456.4</v>
      </c>
      <c r="C7" s="25"/>
      <c r="D7" s="25">
        <f>SUBTOTAL(9,Table2[Management])</f>
        <v>3</v>
      </c>
      <c r="E7" s="25">
        <f>SUBTOTAL(9,Table2[TSVVs])</f>
        <v>67</v>
      </c>
      <c r="F7" s="25">
        <f>SUBTOTAL(9,Table2[ENR])</f>
        <v>0</v>
      </c>
      <c r="G7" s="25">
        <f>SUBTOTAL(9,Table2[W7X])</f>
        <v>0</v>
      </c>
      <c r="H7" s="25">
        <f>SUBTOTAL(9,Table2[PrIO])</f>
        <v>0</v>
      </c>
      <c r="I7" s="25">
        <f>SUBTOTAL(9,Table2[TE])</f>
        <v>12</v>
      </c>
      <c r="J7" s="25">
        <f>SUBTOTAL(9,Table2[OTHER])</f>
        <v>0</v>
      </c>
      <c r="K7" s="25">
        <f>SUBTOTAL(9,Table2[Balance])</f>
        <v>374.4</v>
      </c>
    </row>
  </sheetData>
  <conditionalFormatting sqref="D2:K6">
    <cfRule type="cellIs" dxfId="2" priority="3" operator="equal">
      <formula>0</formula>
    </cfRule>
  </conditionalFormatting>
  <conditionalFormatting sqref="K2:K6">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ACH_Tasks_2024</vt:lpstr>
      <vt:lpstr>Rejected_projects</vt:lpstr>
      <vt:lpstr>ACH_manpower balance</vt:lpstr>
      <vt:lpstr>ACH_Tasks_2024!Print_Area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Ribeiro, Tiago</dc:creator>
  <cp:lastModifiedBy>Kalupin Denis</cp:lastModifiedBy>
  <cp:lastPrinted>2022-09-16T06:18:14Z</cp:lastPrinted>
  <dcterms:created xsi:type="dcterms:W3CDTF">2013-11-28T08:38:31Z</dcterms:created>
  <dcterms:modified xsi:type="dcterms:W3CDTF">2023-10-30T14:56:48Z</dcterms:modified>
</cp:coreProperties>
</file>